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 Kraus\Desktop\"/>
    </mc:Choice>
  </mc:AlternateContent>
  <xr:revisionPtr revIDLastSave="0" documentId="13_ncr:1_{38D2848E-97DD-49C4-A585-AE7DF5EF189E}" xr6:coauthVersionLast="43" xr6:coauthVersionMax="43" xr10:uidLastSave="{00000000-0000-0000-0000-000000000000}"/>
  <bookViews>
    <workbookView xWindow="792" yWindow="972" windowWidth="18660" windowHeight="10944" xr2:uid="{00000000-000D-0000-FFFF-FFFF00000000}"/>
  </bookViews>
  <sheets>
    <sheet name="výpočet" sheetId="1" r:id="rId1"/>
    <sheet name="ceník" sheetId="2" r:id="rId2"/>
  </sheets>
  <definedNames>
    <definedName name="_xlnm.Print_Area" localSheetId="0">výpočet!$A$1:$E$24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  <c r="B15" i="1"/>
  <c r="B14" i="1"/>
  <c r="I29" i="2"/>
  <c r="G28" i="1" s="1"/>
  <c r="I30" i="2"/>
  <c r="G29" i="1" s="1"/>
  <c r="I14" i="2"/>
  <c r="G13" i="1" s="1"/>
  <c r="I15" i="2"/>
  <c r="G14" i="1" s="1"/>
  <c r="D23" i="1" l="1"/>
  <c r="I7" i="2" l="1"/>
  <c r="G7" i="2"/>
  <c r="F7" i="2"/>
  <c r="H6" i="2"/>
  <c r="H7" i="2"/>
  <c r="E7" i="2"/>
  <c r="D7" i="2"/>
  <c r="C7" i="2"/>
  <c r="I19" i="2" l="1"/>
  <c r="G18" i="1" s="1"/>
  <c r="I20" i="2"/>
  <c r="G19" i="1" s="1"/>
  <c r="I21" i="2"/>
  <c r="G20" i="1" s="1"/>
  <c r="I22" i="2"/>
  <c r="G21" i="1" s="1"/>
  <c r="I23" i="2"/>
  <c r="G22" i="1" s="1"/>
  <c r="I24" i="2"/>
  <c r="G23" i="1" s="1"/>
  <c r="I25" i="2"/>
  <c r="G24" i="1" s="1"/>
  <c r="I26" i="2"/>
  <c r="G25" i="1" s="1"/>
  <c r="I27" i="2"/>
  <c r="G26" i="1" s="1"/>
  <c r="I18" i="2"/>
  <c r="G17" i="1" s="1"/>
  <c r="I28" i="2"/>
  <c r="G27" i="1" s="1"/>
  <c r="H21" i="2"/>
  <c r="G21" i="2"/>
  <c r="F21" i="2"/>
  <c r="D21" i="2"/>
  <c r="C21" i="2"/>
  <c r="D24" i="2"/>
  <c r="C24" i="2"/>
  <c r="I17" i="2" l="1"/>
  <c r="G16" i="1" s="1"/>
  <c r="I16" i="2"/>
  <c r="G15" i="1" s="1"/>
  <c r="I13" i="2"/>
  <c r="G12" i="1" s="1"/>
  <c r="I4" i="2"/>
  <c r="G4" i="1" s="1"/>
  <c r="I5" i="2"/>
  <c r="G5" i="1" s="1"/>
  <c r="I6" i="2"/>
  <c r="G6" i="1" s="1"/>
  <c r="I8" i="2"/>
  <c r="G7" i="1" s="1"/>
  <c r="I9" i="2"/>
  <c r="G8" i="1" s="1"/>
  <c r="I10" i="2"/>
  <c r="G9" i="1" s="1"/>
  <c r="I11" i="2"/>
  <c r="G10" i="1" s="1"/>
  <c r="I12" i="2"/>
  <c r="G11" i="1" s="1"/>
  <c r="I3" i="2"/>
  <c r="G3" i="1" s="1"/>
  <c r="E18" i="2"/>
  <c r="E19" i="2"/>
  <c r="E21" i="2" s="1"/>
  <c r="E20" i="2"/>
  <c r="E22" i="2"/>
  <c r="E23" i="2"/>
  <c r="E24" i="2"/>
  <c r="E25" i="2"/>
  <c r="E26" i="2"/>
  <c r="E27" i="2"/>
  <c r="E17" i="2"/>
  <c r="H18" i="2"/>
  <c r="H19" i="2"/>
  <c r="H20" i="2"/>
  <c r="H22" i="2"/>
  <c r="H23" i="2"/>
  <c r="H24" i="2"/>
  <c r="H25" i="2"/>
  <c r="H26" i="2"/>
  <c r="H27" i="2"/>
  <c r="H17" i="2"/>
  <c r="E5" i="2"/>
  <c r="B16" i="1" s="1"/>
  <c r="E6" i="2"/>
  <c r="E8" i="2"/>
  <c r="E9" i="2"/>
  <c r="E10" i="2"/>
  <c r="E11" i="2"/>
  <c r="E12" i="2"/>
  <c r="E4" i="2"/>
  <c r="C16" i="1" l="1"/>
  <c r="H5" i="2"/>
  <c r="H8" i="2"/>
  <c r="H9" i="2"/>
  <c r="H10" i="2"/>
  <c r="H11" i="2"/>
  <c r="H12" i="2"/>
  <c r="H4" i="2"/>
  <c r="G26" i="2" l="1"/>
  <c r="F26" i="2"/>
  <c r="G23" i="2"/>
  <c r="F23" i="2"/>
  <c r="G20" i="2"/>
  <c r="F20" i="2"/>
  <c r="F18" i="2"/>
  <c r="F17" i="2"/>
  <c r="G6" i="2"/>
  <c r="F6" i="2"/>
  <c r="F4" i="2"/>
  <c r="C14" i="1" s="1"/>
  <c r="G33" i="1" l="1"/>
  <c r="A21" i="1"/>
  <c r="A15" i="1" l="1"/>
  <c r="A14" i="1"/>
  <c r="C12" i="1"/>
  <c r="A12" i="1"/>
  <c r="A11" i="1"/>
  <c r="D6" i="2" l="1"/>
  <c r="C6" i="2"/>
  <c r="D26" i="2"/>
  <c r="C26" i="2"/>
  <c r="D20" i="2"/>
  <c r="C20" i="2"/>
  <c r="C18" i="2"/>
  <c r="C17" i="2"/>
  <c r="C4" i="2"/>
  <c r="G34" i="1" l="1"/>
  <c r="E18" i="1" s="1"/>
  <c r="C18" i="1" l="1"/>
  <c r="C20" i="1" s="1"/>
  <c r="C21" i="1" s="1"/>
</calcChain>
</file>

<file path=xl/sharedStrings.xml><?xml version="1.0" encoding="utf-8"?>
<sst xmlns="http://schemas.openxmlformats.org/spreadsheetml/2006/main" count="83" uniqueCount="67">
  <si>
    <t>Sazby</t>
  </si>
  <si>
    <t>VT</t>
  </si>
  <si>
    <t>NT</t>
  </si>
  <si>
    <t>D01d</t>
  </si>
  <si>
    <t>D02d</t>
  </si>
  <si>
    <t>D25d</t>
  </si>
  <si>
    <t>D26d</t>
  </si>
  <si>
    <t>D35d</t>
  </si>
  <si>
    <t>D45d</t>
  </si>
  <si>
    <t>D56d</t>
  </si>
  <si>
    <t>D61d</t>
  </si>
  <si>
    <t>C01d</t>
  </si>
  <si>
    <t>C02d</t>
  </si>
  <si>
    <t>C25d</t>
  </si>
  <si>
    <t>C26d</t>
  </si>
  <si>
    <t>C35d</t>
  </si>
  <si>
    <t>C45d</t>
  </si>
  <si>
    <t>C55d</t>
  </si>
  <si>
    <t>C56d</t>
  </si>
  <si>
    <t>C03d</t>
  </si>
  <si>
    <t>C62d</t>
  </si>
  <si>
    <t>Nabízená cena</t>
  </si>
  <si>
    <t>Stávající cena</t>
  </si>
  <si>
    <t>Stálé platby</t>
  </si>
  <si>
    <t>MWh</t>
  </si>
  <si>
    <t>Orientační výpočet úspory energií</t>
  </si>
  <si>
    <t>Celková roční úspora s DPH:</t>
  </si>
  <si>
    <t>JMÉNO</t>
  </si>
  <si>
    <t>Průměrná úspora za MWh</t>
  </si>
  <si>
    <t>Ceny stávající</t>
  </si>
  <si>
    <t>stálý</t>
  </si>
  <si>
    <t>Vyberte tarif:</t>
  </si>
  <si>
    <t>Komoditu a typ odběratele vybíráte myší. V návaznosti na to musíte vybrat tarif. Klepnete</t>
  </si>
  <si>
    <t>na buňku B10 a pomocí šipky vpravo rozbalíte přípustné volby. Pomožte si posuvníkem.</t>
  </si>
  <si>
    <t>V případě elektřiny zadáváte odběr ve VT a NT, v případě plynu celkovou spotřebu.</t>
  </si>
  <si>
    <t>Jméno vyplňujete pro tento i následující listy.</t>
  </si>
  <si>
    <t>Ceny vyplňujete v listu "ceník".</t>
  </si>
  <si>
    <t>Vyplňujete pouze šedá pole - ceny stávajícího odběru</t>
  </si>
  <si>
    <t>D57d</t>
  </si>
  <si>
    <t>C46d</t>
  </si>
  <si>
    <t>C27d</t>
  </si>
  <si>
    <t>Nabídka je platná do 7 dnů od vytvoření</t>
  </si>
  <si>
    <t>vytvořeno dne:</t>
  </si>
  <si>
    <t>D27d</t>
  </si>
  <si>
    <t>||</t>
  </si>
  <si>
    <t>Akumulace 8</t>
  </si>
  <si>
    <t>Akumulace 16</t>
  </si>
  <si>
    <t>Přímotop</t>
  </si>
  <si>
    <t>Akumulace 8 F</t>
  </si>
  <si>
    <t>Akumulace 16 F</t>
  </si>
  <si>
    <t>Přímotop F</t>
  </si>
  <si>
    <t>Veřejné osvětlení</t>
  </si>
  <si>
    <t>Tepelné čerpadlo F</t>
  </si>
  <si>
    <t>Plyn F</t>
  </si>
  <si>
    <t>Plyn</t>
  </si>
  <si>
    <t>Tepelné čerpadlo</t>
  </si>
  <si>
    <t>Víkend</t>
  </si>
  <si>
    <t>El. Topení</t>
  </si>
  <si>
    <r>
      <t xml:space="preserve">Plyn P </t>
    </r>
    <r>
      <rPr>
        <sz val="8"/>
        <color theme="1"/>
        <rFont val="Calibri"/>
        <family val="2"/>
        <charset val="238"/>
        <scheme val="minor"/>
      </rPr>
      <t>do 1,89</t>
    </r>
  </si>
  <si>
    <r>
      <t>Plyn P</t>
    </r>
    <r>
      <rPr>
        <sz val="8"/>
        <color theme="1"/>
        <rFont val="Calibri"/>
        <family val="2"/>
        <charset val="238"/>
        <scheme val="minor"/>
      </rPr>
      <t xml:space="preserve"> 1,89-7,56</t>
    </r>
  </si>
  <si>
    <r>
      <t>Plyn P</t>
    </r>
    <r>
      <rPr>
        <sz val="8"/>
        <color theme="1"/>
        <rFont val="Calibri"/>
        <family val="2"/>
        <charset val="238"/>
        <scheme val="minor"/>
      </rPr>
      <t xml:space="preserve"> nad 7,56</t>
    </r>
  </si>
  <si>
    <r>
      <t>Plyn D</t>
    </r>
    <r>
      <rPr>
        <sz val="8"/>
        <color theme="1"/>
        <rFont val="Calibri"/>
        <family val="2"/>
        <charset val="238"/>
        <scheme val="minor"/>
      </rPr>
      <t xml:space="preserve"> do 1,89</t>
    </r>
  </si>
  <si>
    <r>
      <t>Plyn D</t>
    </r>
    <r>
      <rPr>
        <sz val="8"/>
        <color theme="1"/>
        <rFont val="Calibri"/>
        <family val="2"/>
        <charset val="238"/>
        <scheme val="minor"/>
      </rPr>
      <t xml:space="preserve"> 1,89-7,56</t>
    </r>
  </si>
  <si>
    <r>
      <t>Plyn D</t>
    </r>
    <r>
      <rPr>
        <sz val="8"/>
        <color theme="1"/>
        <rFont val="Calibri"/>
        <family val="2"/>
        <charset val="238"/>
        <scheme val="minor"/>
      </rPr>
      <t xml:space="preserve"> nad 7,56</t>
    </r>
  </si>
  <si>
    <t>Ceny z VIPFIX ceníku na období</t>
  </si>
  <si>
    <t>Jednotarif</t>
  </si>
  <si>
    <t>Jednotarif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</si>
</sst>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"/>
    <numFmt numFmtId="165" formatCode="#,##0.000"/>
  </numFmts>
  <fonts count="10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3" fontId="3" fillId="0" borderId="4" xfId="0" applyNumberFormat="1" applyFont="1" applyBorder="1" applyAlignment="1">
      <alignment horizontal="center"/>
    </xf>
    <xf numFmtId="164" fontId="0" fillId="0" borderId="0" xfId="0" applyNumberFormat="1"/>
    <xf numFmtId="4" fontId="1" fillId="0" borderId="0" xfId="0" applyNumberFormat="1" applyFont="1" applyAlignment="1"/>
    <xf numFmtId="165" fontId="1" fillId="0" borderId="0" xfId="0" applyNumberFormat="1" applyFont="1" applyAlignment="1"/>
    <xf numFmtId="165" fontId="0" fillId="0" borderId="0" xfId="0" applyNumberFormat="1" applyAlignment="1"/>
    <xf numFmtId="0" fontId="0" fillId="0" borderId="0" xfId="0" applyProtection="1">
      <protection locked="0"/>
    </xf>
    <xf numFmtId="0" fontId="1" fillId="3" borderId="0" xfId="0" applyFont="1" applyFill="1" applyAlignment="1" applyProtection="1">
      <alignment horizontal="center"/>
      <protection locked="0"/>
    </xf>
    <xf numFmtId="165" fontId="1" fillId="3" borderId="0" xfId="0" applyNumberFormat="1" applyFont="1" applyFill="1" applyProtection="1">
      <protection locked="0"/>
    </xf>
    <xf numFmtId="0" fontId="1" fillId="3" borderId="0" xfId="0" applyFont="1" applyFill="1" applyProtection="1">
      <protection locked="0"/>
    </xf>
    <xf numFmtId="0" fontId="0" fillId="4" borderId="1" xfId="0" applyFill="1" applyBorder="1"/>
    <xf numFmtId="0" fontId="0" fillId="5" borderId="1" xfId="0" applyFill="1" applyBorder="1"/>
    <xf numFmtId="0" fontId="0" fillId="2" borderId="5" xfId="0" applyFill="1" applyBorder="1" applyAlignment="1" applyProtection="1">
      <alignment horizontal="center"/>
    </xf>
    <xf numFmtId="0" fontId="0" fillId="2" borderId="1" xfId="0" applyFill="1" applyBorder="1" applyProtection="1"/>
    <xf numFmtId="0" fontId="0" fillId="0" borderId="1" xfId="0" applyFill="1" applyBorder="1" applyProtection="1"/>
    <xf numFmtId="0" fontId="0" fillId="6" borderId="1" xfId="0" applyFill="1" applyBorder="1" applyAlignment="1"/>
    <xf numFmtId="0" fontId="0" fillId="6" borderId="1" xfId="0" applyFill="1" applyBorder="1"/>
    <xf numFmtId="0" fontId="0" fillId="3" borderId="1" xfId="0" applyFill="1" applyBorder="1" applyAlignment="1" applyProtection="1">
      <protection locked="0"/>
    </xf>
    <xf numFmtId="0" fontId="0" fillId="3" borderId="1" xfId="0" applyFill="1" applyBorder="1" applyProtection="1">
      <protection locked="0"/>
    </xf>
    <xf numFmtId="0" fontId="7" fillId="0" borderId="0" xfId="0" applyFont="1"/>
    <xf numFmtId="0" fontId="8" fillId="0" borderId="0" xfId="0" applyFont="1" applyFill="1" applyBorder="1"/>
    <xf numFmtId="0" fontId="0" fillId="0" borderId="0" xfId="0" applyFont="1"/>
    <xf numFmtId="0" fontId="0" fillId="0" borderId="0" xfId="0" applyFont="1" applyAlignment="1">
      <alignment horizontal="right"/>
    </xf>
    <xf numFmtId="10" fontId="3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Alignment="1" applyProtection="1">
      <alignment horizontal="center"/>
      <protection locked="0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0" fillId="2" borderId="2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0" xfId="0" applyAlignment="1"/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  <color rgb="FFFDF1E3"/>
      <color rgb="FFFFCC66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$B$3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182880</xdr:rowOff>
        </xdr:from>
        <xdr:to>
          <xdr:col>2</xdr:col>
          <xdr:colOff>0</xdr:colOff>
          <xdr:row>3</xdr:row>
          <xdr:rowOff>83820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00" mc:Ignorable="a14" a14:legacySpreadsheetColorIndex="5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elektřina domácnost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83820</xdr:rowOff>
        </xdr:from>
        <xdr:to>
          <xdr:col>2</xdr:col>
          <xdr:colOff>0</xdr:colOff>
          <xdr:row>5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00" mc:Ignorable="a14" a14:legacySpreadsheetColorIndex="5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plyn domácnost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2</xdr:col>
          <xdr:colOff>0</xdr:colOff>
          <xdr:row>6</xdr:row>
          <xdr:rowOff>99060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8000" mc:Ignorable="a14" a14:legacySpreadsheetColorIndex="1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elektřina podnikatel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60960</xdr:rowOff>
        </xdr:from>
        <xdr:to>
          <xdr:col>2</xdr:col>
          <xdr:colOff>0</xdr:colOff>
          <xdr:row>7</xdr:row>
          <xdr:rowOff>152400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8000" mc:Ignorable="a14" a14:legacySpreadsheetColorIndex="1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plyn podnikatel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390525</xdr:colOff>
      <xdr:row>0</xdr:row>
      <xdr:rowOff>9525</xdr:rowOff>
    </xdr:from>
    <xdr:to>
      <xdr:col>4</xdr:col>
      <xdr:colOff>733425</xdr:colOff>
      <xdr:row>4</xdr:row>
      <xdr:rowOff>28575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5" y="9525"/>
          <a:ext cx="224790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selection activeCell="C10" sqref="C10"/>
    </sheetView>
  </sheetViews>
  <sheetFormatPr defaultRowHeight="14.4" x14ac:dyDescent="0.3"/>
  <cols>
    <col min="1" max="1" width="19.44140625" customWidth="1"/>
    <col min="2" max="2" width="24.88671875" customWidth="1"/>
    <col min="3" max="3" width="18.6640625" customWidth="1"/>
    <col min="4" max="4" width="9.88671875" bestFit="1" customWidth="1"/>
    <col min="5" max="5" width="13.33203125" customWidth="1"/>
    <col min="6" max="6" width="10.6640625" customWidth="1"/>
    <col min="7" max="7" width="10.6640625" hidden="1" customWidth="1"/>
    <col min="8" max="8" width="10.6640625" customWidth="1"/>
  </cols>
  <sheetData>
    <row r="1" spans="1:7" ht="21" x14ac:dyDescent="0.4">
      <c r="A1" s="1" t="s">
        <v>25</v>
      </c>
    </row>
    <row r="3" spans="1:7" x14ac:dyDescent="0.3">
      <c r="B3" s="11">
        <v>1</v>
      </c>
      <c r="G3" s="7" t="str">
        <f>ceník!I3</f>
        <v>D01d</v>
      </c>
    </row>
    <row r="4" spans="1:7" x14ac:dyDescent="0.3">
      <c r="B4" s="11"/>
      <c r="G4" s="7" t="str">
        <f>ceník!I4</f>
        <v>D02d</v>
      </c>
    </row>
    <row r="5" spans="1:7" x14ac:dyDescent="0.3">
      <c r="B5" s="11"/>
      <c r="C5" s="32" t="s">
        <v>27</v>
      </c>
      <c r="D5" s="32"/>
      <c r="E5" s="32"/>
      <c r="G5" s="7" t="str">
        <f>ceník!I5</f>
        <v>D25d</v>
      </c>
    </row>
    <row r="6" spans="1:7" x14ac:dyDescent="0.3">
      <c r="B6" s="11"/>
      <c r="C6" s="33"/>
      <c r="D6" s="33"/>
      <c r="E6" s="33"/>
      <c r="G6" s="7" t="str">
        <f>ceník!I6</f>
        <v>D26d</v>
      </c>
    </row>
    <row r="7" spans="1:7" x14ac:dyDescent="0.3">
      <c r="B7" s="11"/>
      <c r="C7" s="33"/>
      <c r="D7" s="33"/>
      <c r="E7" s="33"/>
      <c r="G7" s="7" t="str">
        <f>ceník!I8</f>
        <v>D35d</v>
      </c>
    </row>
    <row r="8" spans="1:7" x14ac:dyDescent="0.3">
      <c r="B8" s="11"/>
      <c r="G8" s="7" t="str">
        <f>ceník!I9</f>
        <v>D45d</v>
      </c>
    </row>
    <row r="9" spans="1:7" x14ac:dyDescent="0.3">
      <c r="G9" s="7" t="str">
        <f>ceník!I10</f>
        <v>D56d</v>
      </c>
    </row>
    <row r="10" spans="1:7" ht="21" x14ac:dyDescent="0.4">
      <c r="A10" s="1" t="s">
        <v>31</v>
      </c>
      <c r="B10" s="12" t="s">
        <v>4</v>
      </c>
      <c r="C10" s="1"/>
      <c r="G10" s="7" t="str">
        <f>ceník!I11</f>
        <v>D57d</v>
      </c>
    </row>
    <row r="11" spans="1:7" ht="21" x14ac:dyDescent="0.4">
      <c r="A11" s="4" t="str">
        <f>IF(LEFT(B10,4)="Plyn","Celkový odběr:","Odběr VT:")</f>
        <v>Odběr VT:</v>
      </c>
      <c r="B11" s="13">
        <v>5</v>
      </c>
      <c r="C11" s="1" t="s">
        <v>24</v>
      </c>
      <c r="G11" s="7" t="str">
        <f>ceník!I12</f>
        <v>D61d</v>
      </c>
    </row>
    <row r="12" spans="1:7" ht="21" x14ac:dyDescent="0.4">
      <c r="A12" s="4" t="str">
        <f>IF(LEFT(B10,4)="Plyn","","Odběr NT:")</f>
        <v>Odběr NT:</v>
      </c>
      <c r="B12" s="14"/>
      <c r="C12" s="1" t="str">
        <f>IF(LEFT(B10,4)="Plyn","","MWh")</f>
        <v>MWh</v>
      </c>
      <c r="G12" s="7">
        <f>ceník!I13</f>
        <v>0</v>
      </c>
    </row>
    <row r="13" spans="1:7" ht="21" x14ac:dyDescent="0.4">
      <c r="A13" s="1"/>
      <c r="B13" s="2" t="s">
        <v>21</v>
      </c>
      <c r="C13" s="2" t="s">
        <v>22</v>
      </c>
      <c r="G13" s="7">
        <f>ceník!I14</f>
        <v>0</v>
      </c>
    </row>
    <row r="14" spans="1:7" ht="21" x14ac:dyDescent="0.4">
      <c r="A14" s="1" t="str">
        <f>IF(LEFT(B10,4)="Plyn","Cena","Vysoký tarif")</f>
        <v>Vysoký tarif</v>
      </c>
      <c r="B14" s="8">
        <f>VLOOKUP(B10,ceník!$B$3:$H$30,2,FALSE)</f>
        <v>1448</v>
      </c>
      <c r="C14" s="8">
        <f>VLOOKUP(B10,ceník!$B$3:$H$30,5,FALSE)</f>
        <v>0</v>
      </c>
      <c r="G14" s="7">
        <f>ceník!I15</f>
        <v>0</v>
      </c>
    </row>
    <row r="15" spans="1:7" ht="21" x14ac:dyDescent="0.4">
      <c r="A15" s="1" t="str">
        <f>IF(LEFT(B10,4)="Plyn","","Nízký tarif")</f>
        <v>Nízký tarif</v>
      </c>
      <c r="B15" s="8">
        <f>VLOOKUP(B10,ceník!$B$3:$H$30,3,FALSE)</f>
        <v>0</v>
      </c>
      <c r="C15" s="8">
        <f>VLOOKUP(B10,ceník!$B$3:$H$30,6,FALSE)</f>
        <v>0</v>
      </c>
      <c r="G15" s="7">
        <f>ceník!I16</f>
        <v>0</v>
      </c>
    </row>
    <row r="16" spans="1:7" ht="21" x14ac:dyDescent="0.4">
      <c r="A16" s="1" t="s">
        <v>23</v>
      </c>
      <c r="B16" s="8">
        <f>VLOOKUP(B10,ceník!$B$3:$H$308,4,FALSE)</f>
        <v>60</v>
      </c>
      <c r="C16" s="8">
        <f>VLOOKUP(B10,ceník!$B$3:$H$30,7,FALSE)</f>
        <v>0</v>
      </c>
      <c r="G16" s="7">
        <f>ceník!I17</f>
        <v>0</v>
      </c>
    </row>
    <row r="17" spans="1:7" ht="21" x14ac:dyDescent="0.4">
      <c r="A17" s="1"/>
      <c r="B17" s="3"/>
      <c r="C17" s="3"/>
      <c r="G17" s="7">
        <f>ceník!I18</f>
        <v>0</v>
      </c>
    </row>
    <row r="18" spans="1:7" ht="26.4" thickBot="1" x14ac:dyDescent="0.55000000000000004">
      <c r="A18" s="5" t="s">
        <v>26</v>
      </c>
      <c r="B18" s="3"/>
      <c r="C18" s="6">
        <f>IF(B15="xxx",((C16-B16)*12+(C14-B14)*B11)*1.21,((C16-B16)*12+(C14-B14)*B11+(C15-B15)*B12)*1.21)</f>
        <v>-9631.6</v>
      </c>
      <c r="E18" s="28" t="str">
        <f>IF(G33=0,"",1-G34/G33)</f>
        <v/>
      </c>
      <c r="G18" s="7">
        <f>ceník!I19</f>
        <v>0</v>
      </c>
    </row>
    <row r="19" spans="1:7" ht="21.6" thickTop="1" x14ac:dyDescent="0.4">
      <c r="A19" s="1"/>
      <c r="B19" s="3"/>
      <c r="C19" s="3"/>
      <c r="G19" s="7">
        <f>ceník!I20</f>
        <v>0</v>
      </c>
    </row>
    <row r="20" spans="1:7" ht="21" x14ac:dyDescent="0.4">
      <c r="A20" s="1" t="s">
        <v>28</v>
      </c>
      <c r="B20" s="3"/>
      <c r="C20" s="8">
        <f>C18/(B11+B12)</f>
        <v>-1926.3200000000002</v>
      </c>
      <c r="G20" s="7">
        <f>ceník!I21</f>
        <v>0</v>
      </c>
    </row>
    <row r="21" spans="1:7" ht="21" x14ac:dyDescent="0.4">
      <c r="A21" s="1" t="str">
        <f>IF(MID(B10,1,4)="Plyn","Průměrná úspora za kubík","")</f>
        <v/>
      </c>
      <c r="B21" s="3"/>
      <c r="C21" s="8" t="str">
        <f>IF(MID(B10,1,4)="Plyn",C20/94.277,"")</f>
        <v/>
      </c>
      <c r="G21" s="7">
        <f>ceník!I22</f>
        <v>0</v>
      </c>
    </row>
    <row r="22" spans="1:7" ht="21" x14ac:dyDescent="0.4">
      <c r="A22" s="1"/>
      <c r="B22" s="3"/>
      <c r="C22" s="3"/>
      <c r="G22" s="7">
        <f>ceník!I23</f>
        <v>0</v>
      </c>
    </row>
    <row r="23" spans="1:7" ht="21" x14ac:dyDescent="0.4">
      <c r="A23" s="26" t="s">
        <v>41</v>
      </c>
      <c r="B23" s="3"/>
      <c r="C23" s="27" t="s">
        <v>42</v>
      </c>
      <c r="D23" s="34">
        <f ca="1">TODAY()</f>
        <v>43689</v>
      </c>
      <c r="E23" s="35"/>
      <c r="G23" s="7">
        <f>ceník!I24</f>
        <v>0</v>
      </c>
    </row>
    <row r="24" spans="1:7" ht="21" x14ac:dyDescent="0.4">
      <c r="A24" s="1"/>
      <c r="B24" s="3"/>
      <c r="C24" s="3"/>
      <c r="D24" s="3"/>
      <c r="E24" s="3"/>
      <c r="G24" s="7">
        <f>ceník!I25</f>
        <v>0</v>
      </c>
    </row>
    <row r="25" spans="1:7" ht="18" customHeight="1" x14ac:dyDescent="0.4">
      <c r="A25" s="1"/>
      <c r="B25" s="3"/>
      <c r="C25" s="9"/>
      <c r="D25" s="8"/>
      <c r="E25" s="8"/>
      <c r="G25" s="7">
        <f>ceník!I26</f>
        <v>0</v>
      </c>
    </row>
    <row r="26" spans="1:7" ht="18" customHeight="1" x14ac:dyDescent="0.4">
      <c r="A26" s="24" t="s">
        <v>32</v>
      </c>
      <c r="B26" s="3"/>
      <c r="C26" s="9"/>
      <c r="D26" s="8"/>
      <c r="E26" s="8"/>
      <c r="G26" s="7">
        <f>ceník!I27</f>
        <v>0</v>
      </c>
    </row>
    <row r="27" spans="1:7" ht="18" customHeight="1" x14ac:dyDescent="0.4">
      <c r="A27" s="24" t="s">
        <v>33</v>
      </c>
      <c r="B27" s="3"/>
      <c r="C27" s="9"/>
      <c r="D27" s="8"/>
      <c r="E27" s="8"/>
      <c r="G27" s="7">
        <f>ceník!I28</f>
        <v>0</v>
      </c>
    </row>
    <row r="28" spans="1:7" ht="18" customHeight="1" x14ac:dyDescent="0.4">
      <c r="A28" s="24" t="s">
        <v>34</v>
      </c>
      <c r="B28" s="3"/>
      <c r="C28" s="9"/>
      <c r="D28" s="8"/>
      <c r="E28" s="8"/>
      <c r="G28" s="7">
        <f>ceník!I29</f>
        <v>0</v>
      </c>
    </row>
    <row r="29" spans="1:7" ht="18" customHeight="1" x14ac:dyDescent="0.4">
      <c r="A29" s="24" t="s">
        <v>35</v>
      </c>
      <c r="B29" s="3"/>
      <c r="C29" s="9"/>
      <c r="G29" s="7">
        <f>ceník!I30</f>
        <v>0</v>
      </c>
    </row>
    <row r="30" spans="1:7" ht="21" x14ac:dyDescent="0.4">
      <c r="A30" s="24" t="s">
        <v>36</v>
      </c>
      <c r="B30" s="3"/>
      <c r="C30" s="9"/>
      <c r="G30" s="7"/>
    </row>
    <row r="31" spans="1:7" x14ac:dyDescent="0.3">
      <c r="C31" s="10"/>
      <c r="G31" s="7"/>
    </row>
    <row r="32" spans="1:7" x14ac:dyDescent="0.3">
      <c r="C32" s="10"/>
    </row>
    <row r="33" spans="3:7" x14ac:dyDescent="0.3">
      <c r="C33" s="10"/>
      <c r="G33">
        <f>C14*B11+C15*B12+C16*12</f>
        <v>0</v>
      </c>
    </row>
    <row r="34" spans="3:7" x14ac:dyDescent="0.3">
      <c r="C34" s="10"/>
      <c r="G34">
        <f>B14*B11+B15*B12+B16*12</f>
        <v>7960</v>
      </c>
    </row>
    <row r="35" spans="3:7" x14ac:dyDescent="0.3">
      <c r="C35" s="10"/>
    </row>
    <row r="36" spans="3:7" x14ac:dyDescent="0.3">
      <c r="C36" s="10"/>
    </row>
    <row r="37" spans="3:7" x14ac:dyDescent="0.3">
      <c r="C37" s="10"/>
    </row>
    <row r="38" spans="3:7" x14ac:dyDescent="0.3">
      <c r="C38" s="10"/>
    </row>
    <row r="39" spans="3:7" x14ac:dyDescent="0.3">
      <c r="C39" s="10"/>
    </row>
  </sheetData>
  <sheetProtection algorithmName="SHA-512" hashValue="h4u5eR9wPflZg8K6hfI0TQFsdBoonqMrb7PvT7o9GULzZwfNCGhOd3WYn3zdS3pHscMNLI5lQ4rbMz33lvsaag==" saltValue="VeuJP1/mg+mI7TXFI72/og==" spinCount="100000" sheet="1" objects="1" scenarios="1"/>
  <mergeCells count="3">
    <mergeCell ref="C5:E5"/>
    <mergeCell ref="C6:E7"/>
    <mergeCell ref="D23:E23"/>
  </mergeCells>
  <dataValidations count="1">
    <dataValidation type="list" allowBlank="1" showInputMessage="1" showErrorMessage="1" sqref="B10" xr:uid="{00000000-0002-0000-0000-000000000000}">
      <formula1>$G$3:$G$29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1</xdr:col>
                    <xdr:colOff>0</xdr:colOff>
                    <xdr:row>1</xdr:row>
                    <xdr:rowOff>182880</xdr:rowOff>
                  </from>
                  <to>
                    <xdr:col>2</xdr:col>
                    <xdr:colOff>0</xdr:colOff>
                    <xdr:row>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0</xdr:colOff>
                    <xdr:row>3</xdr:row>
                    <xdr:rowOff>83820</xdr:rowOff>
                  </from>
                  <to>
                    <xdr:col>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1</xdr:col>
                    <xdr:colOff>0</xdr:colOff>
                    <xdr:row>5</xdr:row>
                    <xdr:rowOff>0</xdr:rowOff>
                  </from>
                  <to>
                    <xdr:col>2</xdr:col>
                    <xdr:colOff>0</xdr:colOff>
                    <xdr:row>6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1</xdr:col>
                    <xdr:colOff>0</xdr:colOff>
                    <xdr:row>6</xdr:row>
                    <xdr:rowOff>60960</xdr:rowOff>
                  </from>
                  <to>
                    <xdr:col>2</xdr:col>
                    <xdr:colOff>0</xdr:colOff>
                    <xdr:row>7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2"/>
  <sheetViews>
    <sheetView topLeftCell="B1" zoomScale="150" zoomScaleNormal="150" workbookViewId="0">
      <selection activeCell="F16" sqref="F16:G16"/>
    </sheetView>
  </sheetViews>
  <sheetFormatPr defaultRowHeight="14.4" x14ac:dyDescent="0.3"/>
  <cols>
    <col min="1" max="1" width="10.6640625" hidden="1" customWidth="1"/>
    <col min="2" max="2" width="11.6640625" customWidth="1"/>
    <col min="3" max="4" width="7.6640625" customWidth="1"/>
    <col min="5" max="5" width="5.6640625" customWidth="1"/>
    <col min="6" max="7" width="7.6640625" customWidth="1"/>
    <col min="8" max="8" width="10.6640625" customWidth="1"/>
    <col min="9" max="10" width="10.6640625" hidden="1" customWidth="1"/>
    <col min="11" max="11" width="26.33203125" style="29" customWidth="1"/>
  </cols>
  <sheetData>
    <row r="1" spans="1:11" x14ac:dyDescent="0.3">
      <c r="B1" s="42" t="s">
        <v>64</v>
      </c>
      <c r="C1" s="42"/>
      <c r="D1" s="42"/>
      <c r="E1" s="42"/>
      <c r="F1" s="42" t="s">
        <v>29</v>
      </c>
      <c r="G1" s="42"/>
      <c r="H1" s="42"/>
    </row>
    <row r="2" spans="1:11" x14ac:dyDescent="0.3">
      <c r="B2" t="s">
        <v>0</v>
      </c>
      <c r="C2" t="s">
        <v>1</v>
      </c>
      <c r="D2" t="s">
        <v>2</v>
      </c>
      <c r="E2" t="s">
        <v>30</v>
      </c>
      <c r="F2" t="s">
        <v>1</v>
      </c>
      <c r="G2" t="s">
        <v>2</v>
      </c>
      <c r="H2" t="s">
        <v>30</v>
      </c>
    </row>
    <row r="3" spans="1:11" ht="15" customHeight="1" x14ac:dyDescent="0.3">
      <c r="A3">
        <v>101</v>
      </c>
      <c r="B3" s="15" t="s">
        <v>3</v>
      </c>
      <c r="C3" s="36">
        <v>1448</v>
      </c>
      <c r="D3" s="37"/>
      <c r="E3" s="17">
        <v>60</v>
      </c>
      <c r="F3" s="38"/>
      <c r="G3" s="39"/>
      <c r="H3" s="22"/>
      <c r="I3" t="str">
        <f>IF(výpočet!$B$3=1,B3,0)</f>
        <v>D01d</v>
      </c>
      <c r="K3" s="29" t="s">
        <v>65</v>
      </c>
    </row>
    <row r="4" spans="1:11" x14ac:dyDescent="0.3">
      <c r="A4">
        <v>102</v>
      </c>
      <c r="B4" s="15" t="s">
        <v>4</v>
      </c>
      <c r="C4" s="40">
        <f>C3</f>
        <v>1448</v>
      </c>
      <c r="D4" s="41"/>
      <c r="E4" s="31">
        <f>$E$3</f>
        <v>60</v>
      </c>
      <c r="F4" s="43">
        <f>F3</f>
        <v>0</v>
      </c>
      <c r="G4" s="44"/>
      <c r="H4" s="20">
        <f>$H$3</f>
        <v>0</v>
      </c>
      <c r="I4" t="str">
        <f>IF(výpočet!$B$3=1,B4,0)</f>
        <v>D02d</v>
      </c>
      <c r="K4" s="29" t="s">
        <v>44</v>
      </c>
    </row>
    <row r="5" spans="1:11" x14ac:dyDescent="0.3">
      <c r="A5">
        <v>103</v>
      </c>
      <c r="B5" s="15" t="s">
        <v>5</v>
      </c>
      <c r="C5" s="18">
        <v>1596</v>
      </c>
      <c r="D5" s="18">
        <v>1215</v>
      </c>
      <c r="E5" s="31">
        <f t="shared" ref="E5:E12" si="0">$E$3</f>
        <v>60</v>
      </c>
      <c r="F5" s="23"/>
      <c r="G5" s="23"/>
      <c r="H5" s="20">
        <f t="shared" ref="H5:H12" si="1">$H$3</f>
        <v>0</v>
      </c>
      <c r="I5" t="str">
        <f>IF(výpočet!$B$3=1,B5,0)</f>
        <v>D25d</v>
      </c>
      <c r="K5" s="29" t="s">
        <v>45</v>
      </c>
    </row>
    <row r="6" spans="1:11" x14ac:dyDescent="0.3">
      <c r="A6">
        <v>104</v>
      </c>
      <c r="B6" s="15" t="s">
        <v>6</v>
      </c>
      <c r="C6" s="19">
        <f>C5</f>
        <v>1596</v>
      </c>
      <c r="D6" s="19">
        <f>D5</f>
        <v>1215</v>
      </c>
      <c r="E6" s="31">
        <f t="shared" si="0"/>
        <v>60</v>
      </c>
      <c r="F6" s="21">
        <f>F5</f>
        <v>0</v>
      </c>
      <c r="G6" s="21">
        <f>G5</f>
        <v>0</v>
      </c>
      <c r="H6" s="20">
        <f t="shared" si="1"/>
        <v>0</v>
      </c>
      <c r="I6" t="str">
        <f>IF(výpočet!$B$3=1,B6,0)</f>
        <v>D26d</v>
      </c>
      <c r="K6" s="29" t="s">
        <v>44</v>
      </c>
    </row>
    <row r="7" spans="1:11" x14ac:dyDescent="0.3">
      <c r="A7">
        <v>105</v>
      </c>
      <c r="B7" s="15" t="s">
        <v>43</v>
      </c>
      <c r="C7" s="19">
        <f>C5</f>
        <v>1596</v>
      </c>
      <c r="D7" s="19">
        <f t="shared" ref="D7" si="2">D5</f>
        <v>1215</v>
      </c>
      <c r="E7" s="31">
        <f t="shared" si="0"/>
        <v>60</v>
      </c>
      <c r="F7" s="21">
        <f>F5</f>
        <v>0</v>
      </c>
      <c r="G7" s="21">
        <f>G5</f>
        <v>0</v>
      </c>
      <c r="H7" s="20">
        <f t="shared" si="1"/>
        <v>0</v>
      </c>
      <c r="I7" t="str">
        <f>IF(výpočet!$B$3=1,B7,0)</f>
        <v>D27d</v>
      </c>
      <c r="K7" s="29" t="s">
        <v>44</v>
      </c>
    </row>
    <row r="8" spans="1:11" x14ac:dyDescent="0.3">
      <c r="A8">
        <v>106</v>
      </c>
      <c r="B8" s="15" t="s">
        <v>7</v>
      </c>
      <c r="C8" s="18">
        <v>1775</v>
      </c>
      <c r="D8" s="18">
        <v>1359</v>
      </c>
      <c r="E8" s="31">
        <f t="shared" si="0"/>
        <v>60</v>
      </c>
      <c r="F8" s="23"/>
      <c r="G8" s="23"/>
      <c r="H8" s="20">
        <f t="shared" si="1"/>
        <v>0</v>
      </c>
      <c r="I8" t="str">
        <f>IF(výpočet!$B$3=1,B8,0)</f>
        <v>D35d</v>
      </c>
      <c r="K8" s="29" t="s">
        <v>46</v>
      </c>
    </row>
    <row r="9" spans="1:11" x14ac:dyDescent="0.3">
      <c r="A9">
        <v>107</v>
      </c>
      <c r="B9" s="15" t="s">
        <v>8</v>
      </c>
      <c r="C9" s="18">
        <v>1634</v>
      </c>
      <c r="D9" s="18">
        <v>1428</v>
      </c>
      <c r="E9" s="31">
        <f t="shared" si="0"/>
        <v>60</v>
      </c>
      <c r="F9" s="23"/>
      <c r="G9" s="23"/>
      <c r="H9" s="20">
        <f t="shared" si="1"/>
        <v>0</v>
      </c>
      <c r="I9" t="str">
        <f>IF(výpočet!$B$3=1,B9,0)</f>
        <v>D45d</v>
      </c>
      <c r="K9" s="29" t="s">
        <v>47</v>
      </c>
    </row>
    <row r="10" spans="1:11" x14ac:dyDescent="0.3">
      <c r="A10">
        <v>108</v>
      </c>
      <c r="B10" s="15" t="s">
        <v>9</v>
      </c>
      <c r="C10" s="18">
        <v>1634</v>
      </c>
      <c r="D10" s="18">
        <v>1428</v>
      </c>
      <c r="E10" s="31">
        <f t="shared" si="0"/>
        <v>60</v>
      </c>
      <c r="F10" s="23"/>
      <c r="G10" s="23"/>
      <c r="H10" s="20">
        <f t="shared" si="1"/>
        <v>0</v>
      </c>
      <c r="I10" t="str">
        <f>IF(výpočet!$B$3=1,B10,0)</f>
        <v>D56d</v>
      </c>
      <c r="K10" s="29" t="s">
        <v>55</v>
      </c>
    </row>
    <row r="11" spans="1:11" x14ac:dyDescent="0.3">
      <c r="A11">
        <v>110</v>
      </c>
      <c r="B11" s="15" t="s">
        <v>38</v>
      </c>
      <c r="C11" s="18">
        <v>1634</v>
      </c>
      <c r="D11" s="18">
        <v>1428</v>
      </c>
      <c r="E11" s="31">
        <f t="shared" si="0"/>
        <v>60</v>
      </c>
      <c r="F11" s="23"/>
      <c r="G11" s="23"/>
      <c r="H11" s="20">
        <f t="shared" si="1"/>
        <v>0</v>
      </c>
      <c r="I11" t="str">
        <f>IF(výpočet!$B$3=1,B11,0)</f>
        <v>D57d</v>
      </c>
      <c r="K11" s="29" t="s">
        <v>57</v>
      </c>
    </row>
    <row r="12" spans="1:11" x14ac:dyDescent="0.3">
      <c r="A12">
        <v>111</v>
      </c>
      <c r="B12" s="15" t="s">
        <v>10</v>
      </c>
      <c r="C12" s="18">
        <v>1596</v>
      </c>
      <c r="D12" s="18">
        <v>1398</v>
      </c>
      <c r="E12" s="31">
        <f t="shared" si="0"/>
        <v>60</v>
      </c>
      <c r="F12" s="23"/>
      <c r="G12" s="23"/>
      <c r="H12" s="20">
        <f t="shared" si="1"/>
        <v>0</v>
      </c>
      <c r="I12" t="str">
        <f>IF(výpočet!$B$3=1,B12,0)</f>
        <v>D61d</v>
      </c>
      <c r="K12" s="29" t="s">
        <v>56</v>
      </c>
    </row>
    <row r="13" spans="1:11" x14ac:dyDescent="0.3">
      <c r="A13">
        <v>201</v>
      </c>
      <c r="B13" s="15" t="s">
        <v>61</v>
      </c>
      <c r="C13" s="36">
        <v>945</v>
      </c>
      <c r="D13" s="37"/>
      <c r="E13" s="17">
        <v>40</v>
      </c>
      <c r="F13" s="38"/>
      <c r="G13" s="39"/>
      <c r="H13" s="22"/>
      <c r="I13">
        <f>IF(výpočet!$B$3=2,B13,0)</f>
        <v>0</v>
      </c>
      <c r="K13" s="29" t="s">
        <v>54</v>
      </c>
    </row>
    <row r="14" spans="1:11" x14ac:dyDescent="0.3">
      <c r="B14" s="15" t="s">
        <v>62</v>
      </c>
      <c r="C14" s="36">
        <v>785</v>
      </c>
      <c r="D14" s="37"/>
      <c r="E14" s="17">
        <v>50</v>
      </c>
      <c r="F14" s="38"/>
      <c r="G14" s="39"/>
      <c r="H14" s="22"/>
      <c r="I14">
        <f>IF(výpočet!$B$3=2,B14,0)</f>
        <v>0</v>
      </c>
      <c r="K14" s="30" t="s">
        <v>54</v>
      </c>
    </row>
    <row r="15" spans="1:11" x14ac:dyDescent="0.3">
      <c r="B15" s="15" t="s">
        <v>63</v>
      </c>
      <c r="C15" s="36">
        <v>735</v>
      </c>
      <c r="D15" s="37"/>
      <c r="E15" s="17">
        <v>99</v>
      </c>
      <c r="F15" s="38"/>
      <c r="G15" s="39"/>
      <c r="H15" s="22"/>
      <c r="I15">
        <f>IF(výpočet!$B$3=2,B15,0)</f>
        <v>0</v>
      </c>
      <c r="K15" s="30" t="s">
        <v>54</v>
      </c>
    </row>
    <row r="16" spans="1:11" ht="15" customHeight="1" x14ac:dyDescent="0.3">
      <c r="A16">
        <v>301</v>
      </c>
      <c r="B16" s="16" t="s">
        <v>11</v>
      </c>
      <c r="C16" s="36">
        <v>1596</v>
      </c>
      <c r="D16" s="37"/>
      <c r="E16" s="17">
        <v>65</v>
      </c>
      <c r="F16" s="38"/>
      <c r="G16" s="39"/>
      <c r="H16" s="22"/>
      <c r="I16">
        <f>IF(výpočet!$B$3=3,B16,0)</f>
        <v>0</v>
      </c>
      <c r="K16" s="29" t="s">
        <v>66</v>
      </c>
    </row>
    <row r="17" spans="1:11" x14ac:dyDescent="0.3">
      <c r="A17">
        <v>302</v>
      </c>
      <c r="B17" s="16" t="s">
        <v>12</v>
      </c>
      <c r="C17" s="40">
        <f>C16</f>
        <v>1596</v>
      </c>
      <c r="D17" s="41"/>
      <c r="E17" s="31">
        <f>$E$16</f>
        <v>65</v>
      </c>
      <c r="F17" s="43">
        <f>F16</f>
        <v>0</v>
      </c>
      <c r="G17" s="44"/>
      <c r="H17" s="20">
        <f>$H$16</f>
        <v>0</v>
      </c>
      <c r="I17">
        <f>IF(výpočet!$B$3=3,B17,0)</f>
        <v>0</v>
      </c>
      <c r="K17" s="29" t="s">
        <v>44</v>
      </c>
    </row>
    <row r="18" spans="1:11" x14ac:dyDescent="0.3">
      <c r="A18">
        <v>303</v>
      </c>
      <c r="B18" s="16" t="s">
        <v>19</v>
      </c>
      <c r="C18" s="40">
        <f>C16</f>
        <v>1596</v>
      </c>
      <c r="D18" s="41"/>
      <c r="E18" s="31">
        <f t="shared" ref="E18:E27" si="3">$E$16</f>
        <v>65</v>
      </c>
      <c r="F18" s="43">
        <f>F16</f>
        <v>0</v>
      </c>
      <c r="G18" s="44"/>
      <c r="H18" s="20">
        <f t="shared" ref="H18:H27" si="4">$H$16</f>
        <v>0</v>
      </c>
      <c r="I18">
        <f>IF(výpočet!$B$3=3,B18,0)</f>
        <v>0</v>
      </c>
      <c r="K18" s="29" t="s">
        <v>44</v>
      </c>
    </row>
    <row r="19" spans="1:11" x14ac:dyDescent="0.3">
      <c r="A19">
        <v>304</v>
      </c>
      <c r="B19" s="16" t="s">
        <v>13</v>
      </c>
      <c r="C19" s="18">
        <v>1678</v>
      </c>
      <c r="D19" s="18">
        <v>1349</v>
      </c>
      <c r="E19" s="31">
        <f t="shared" si="3"/>
        <v>65</v>
      </c>
      <c r="F19" s="23"/>
      <c r="G19" s="23"/>
      <c r="H19" s="20">
        <f t="shared" si="4"/>
        <v>0</v>
      </c>
      <c r="I19">
        <f>IF(výpočet!$B$3=3,B19,0)</f>
        <v>0</v>
      </c>
      <c r="K19" s="29" t="s">
        <v>48</v>
      </c>
    </row>
    <row r="20" spans="1:11" x14ac:dyDescent="0.3">
      <c r="A20">
        <v>305</v>
      </c>
      <c r="B20" s="16" t="s">
        <v>14</v>
      </c>
      <c r="C20" s="19">
        <f>C19</f>
        <v>1678</v>
      </c>
      <c r="D20" s="19">
        <f>D19</f>
        <v>1349</v>
      </c>
      <c r="E20" s="31">
        <f t="shared" si="3"/>
        <v>65</v>
      </c>
      <c r="F20" s="21">
        <f>F19</f>
        <v>0</v>
      </c>
      <c r="G20" s="21">
        <f>G19</f>
        <v>0</v>
      </c>
      <c r="H20" s="20">
        <f t="shared" si="4"/>
        <v>0</v>
      </c>
      <c r="I20">
        <f>IF(výpočet!$B$3=3,B20,0)</f>
        <v>0</v>
      </c>
      <c r="K20" s="29" t="s">
        <v>44</v>
      </c>
    </row>
    <row r="21" spans="1:11" x14ac:dyDescent="0.3">
      <c r="A21">
        <v>306</v>
      </c>
      <c r="B21" s="16" t="s">
        <v>40</v>
      </c>
      <c r="C21" s="19">
        <f>C19</f>
        <v>1678</v>
      </c>
      <c r="D21" s="19">
        <f>D19</f>
        <v>1349</v>
      </c>
      <c r="E21" s="31">
        <f>E19</f>
        <v>65</v>
      </c>
      <c r="F21" s="21">
        <f>F19</f>
        <v>0</v>
      </c>
      <c r="G21" s="21">
        <f>G19</f>
        <v>0</v>
      </c>
      <c r="H21" s="20">
        <f t="shared" si="4"/>
        <v>0</v>
      </c>
      <c r="I21">
        <f>IF(výpočet!$B$3=3,B21,0)</f>
        <v>0</v>
      </c>
      <c r="K21" s="29" t="s">
        <v>44</v>
      </c>
    </row>
    <row r="22" spans="1:11" x14ac:dyDescent="0.3">
      <c r="A22">
        <v>307</v>
      </c>
      <c r="B22" s="16" t="s">
        <v>15</v>
      </c>
      <c r="C22" s="18">
        <v>1598</v>
      </c>
      <c r="D22" s="18">
        <v>1532</v>
      </c>
      <c r="E22" s="31">
        <f t="shared" si="3"/>
        <v>65</v>
      </c>
      <c r="F22" s="23"/>
      <c r="G22" s="23"/>
      <c r="H22" s="20">
        <f t="shared" si="4"/>
        <v>0</v>
      </c>
      <c r="I22">
        <f>IF(výpočet!$B$3=3,B22,0)</f>
        <v>0</v>
      </c>
      <c r="K22" s="29" t="s">
        <v>49</v>
      </c>
    </row>
    <row r="23" spans="1:11" x14ac:dyDescent="0.3">
      <c r="A23">
        <v>308</v>
      </c>
      <c r="B23" s="16" t="s">
        <v>16</v>
      </c>
      <c r="C23" s="18">
        <v>1639</v>
      </c>
      <c r="D23" s="18">
        <v>1558</v>
      </c>
      <c r="E23" s="31">
        <f t="shared" si="3"/>
        <v>65</v>
      </c>
      <c r="F23" s="21">
        <f>F22</f>
        <v>0</v>
      </c>
      <c r="G23" s="21">
        <f>G22</f>
        <v>0</v>
      </c>
      <c r="H23" s="20">
        <f t="shared" si="4"/>
        <v>0</v>
      </c>
      <c r="I23">
        <f>IF(výpočet!$B$3=3,B23,0)</f>
        <v>0</v>
      </c>
      <c r="K23" s="29" t="s">
        <v>50</v>
      </c>
    </row>
    <row r="24" spans="1:11" x14ac:dyDescent="0.3">
      <c r="A24">
        <v>309</v>
      </c>
      <c r="B24" s="16" t="s">
        <v>39</v>
      </c>
      <c r="C24" s="19">
        <f>C23</f>
        <v>1639</v>
      </c>
      <c r="D24" s="19">
        <f>D23</f>
        <v>1558</v>
      </c>
      <c r="E24" s="31">
        <f t="shared" si="3"/>
        <v>65</v>
      </c>
      <c r="F24" s="23"/>
      <c r="G24" s="23"/>
      <c r="H24" s="20">
        <f t="shared" si="4"/>
        <v>0</v>
      </c>
      <c r="I24">
        <f>IF(výpočet!$B$3=3,B24,0)</f>
        <v>0</v>
      </c>
      <c r="K24" s="29" t="s">
        <v>44</v>
      </c>
    </row>
    <row r="25" spans="1:11" x14ac:dyDescent="0.3">
      <c r="A25">
        <v>310</v>
      </c>
      <c r="B25" s="16" t="s">
        <v>17</v>
      </c>
      <c r="C25" s="18">
        <v>1639</v>
      </c>
      <c r="D25" s="18">
        <v>1558</v>
      </c>
      <c r="E25" s="31">
        <f t="shared" si="3"/>
        <v>65</v>
      </c>
      <c r="F25" s="23"/>
      <c r="G25" s="23"/>
      <c r="H25" s="20">
        <f t="shared" si="4"/>
        <v>0</v>
      </c>
      <c r="I25">
        <f>IF(výpočet!$B$3=3,B25,0)</f>
        <v>0</v>
      </c>
      <c r="K25" s="29" t="s">
        <v>52</v>
      </c>
    </row>
    <row r="26" spans="1:11" x14ac:dyDescent="0.3">
      <c r="A26">
        <v>311</v>
      </c>
      <c r="B26" s="16" t="s">
        <v>18</v>
      </c>
      <c r="C26" s="19">
        <f>C25</f>
        <v>1639</v>
      </c>
      <c r="D26" s="19">
        <f>D25</f>
        <v>1558</v>
      </c>
      <c r="E26" s="31">
        <f t="shared" si="3"/>
        <v>65</v>
      </c>
      <c r="F26" s="21">
        <f>F25</f>
        <v>0</v>
      </c>
      <c r="G26" s="21">
        <f>G25</f>
        <v>0</v>
      </c>
      <c r="H26" s="20">
        <f t="shared" si="4"/>
        <v>0</v>
      </c>
      <c r="I26">
        <f>IF(výpočet!$B$3=3,B26,0)</f>
        <v>0</v>
      </c>
      <c r="K26" s="29" t="s">
        <v>44</v>
      </c>
    </row>
    <row r="27" spans="1:11" x14ac:dyDescent="0.3">
      <c r="A27">
        <v>312</v>
      </c>
      <c r="B27" s="16" t="s">
        <v>20</v>
      </c>
      <c r="C27" s="36">
        <v>1369</v>
      </c>
      <c r="D27" s="37"/>
      <c r="E27" s="31">
        <f t="shared" si="3"/>
        <v>65</v>
      </c>
      <c r="F27" s="38"/>
      <c r="G27" s="39"/>
      <c r="H27" s="20">
        <f t="shared" si="4"/>
        <v>0</v>
      </c>
      <c r="I27">
        <f>IF(výpočet!$B$3=3,B27,0)</f>
        <v>0</v>
      </c>
      <c r="K27" s="29" t="s">
        <v>51</v>
      </c>
    </row>
    <row r="28" spans="1:11" x14ac:dyDescent="0.3">
      <c r="A28">
        <v>401</v>
      </c>
      <c r="B28" s="16" t="s">
        <v>58</v>
      </c>
      <c r="C28" s="36">
        <v>945</v>
      </c>
      <c r="D28" s="37"/>
      <c r="E28" s="17">
        <v>40</v>
      </c>
      <c r="F28" s="38"/>
      <c r="G28" s="39"/>
      <c r="H28" s="22"/>
      <c r="I28">
        <f>IF(výpočet!$B$3=4,B28,0)</f>
        <v>0</v>
      </c>
      <c r="K28" s="29" t="s">
        <v>53</v>
      </c>
    </row>
    <row r="29" spans="1:11" x14ac:dyDescent="0.3">
      <c r="B29" s="16" t="s">
        <v>59</v>
      </c>
      <c r="C29" s="36">
        <v>785</v>
      </c>
      <c r="D29" s="37"/>
      <c r="E29" s="17">
        <v>50</v>
      </c>
      <c r="F29" s="38"/>
      <c r="G29" s="39"/>
      <c r="H29" s="22"/>
      <c r="I29">
        <f>IF(výpočet!$B$3=4,B29,0)</f>
        <v>0</v>
      </c>
      <c r="K29" s="30" t="s">
        <v>53</v>
      </c>
    </row>
    <row r="30" spans="1:11" x14ac:dyDescent="0.3">
      <c r="B30" s="16" t="s">
        <v>60</v>
      </c>
      <c r="C30" s="36">
        <v>735</v>
      </c>
      <c r="D30" s="37"/>
      <c r="E30" s="17">
        <v>99</v>
      </c>
      <c r="F30" s="38"/>
      <c r="G30" s="39"/>
      <c r="H30" s="22"/>
      <c r="I30">
        <f>IF(výpočet!$B$3=4,B30,0)</f>
        <v>0</v>
      </c>
      <c r="K30" s="30" t="s">
        <v>53</v>
      </c>
    </row>
    <row r="31" spans="1:11" ht="11.25" customHeight="1" x14ac:dyDescent="0.3"/>
    <row r="32" spans="1:11" x14ac:dyDescent="0.3">
      <c r="B32" s="25" t="s">
        <v>37</v>
      </c>
    </row>
  </sheetData>
  <sheetProtection password="DB77" sheet="1" objects="1" scenarios="1"/>
  <mergeCells count="26">
    <mergeCell ref="C13:D13"/>
    <mergeCell ref="C28:D28"/>
    <mergeCell ref="B1:E1"/>
    <mergeCell ref="C3:D3"/>
    <mergeCell ref="C16:D16"/>
    <mergeCell ref="C4:D4"/>
    <mergeCell ref="C17:D17"/>
    <mergeCell ref="F1:H1"/>
    <mergeCell ref="F28:G28"/>
    <mergeCell ref="F16:G16"/>
    <mergeCell ref="F17:G17"/>
    <mergeCell ref="F18:G18"/>
    <mergeCell ref="F27:G27"/>
    <mergeCell ref="F3:G3"/>
    <mergeCell ref="F4:G4"/>
    <mergeCell ref="F13:G13"/>
    <mergeCell ref="C29:D29"/>
    <mergeCell ref="F29:G29"/>
    <mergeCell ref="C30:D30"/>
    <mergeCell ref="F30:G30"/>
    <mergeCell ref="C14:D14"/>
    <mergeCell ref="C15:D15"/>
    <mergeCell ref="F14:G14"/>
    <mergeCell ref="F15:G15"/>
    <mergeCell ref="C18:D18"/>
    <mergeCell ref="C27:D27"/>
  </mergeCells>
  <pageMargins left="0.70866141732283472" right="0.70866141732283472" top="0.78740157480314965" bottom="0.78740157480314965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výpočet</vt:lpstr>
      <vt:lpstr>ceník</vt:lpstr>
      <vt:lpstr>výpočet!Oblast_tisku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Martin Kraus</cp:lastModifiedBy>
  <cp:lastPrinted>2019-02-06T15:20:09Z</cp:lastPrinted>
  <dcterms:created xsi:type="dcterms:W3CDTF">2015-06-03T07:42:49Z</dcterms:created>
  <dcterms:modified xsi:type="dcterms:W3CDTF">2019-08-12T10:57:30Z</dcterms:modified>
</cp:coreProperties>
</file>